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D - CLICK Temperature Series\6. Manual Tuning - Part 5\"/>
    </mc:Choice>
  </mc:AlternateContent>
  <xr:revisionPtr revIDLastSave="0" documentId="8_{88B66019-BCEE-4622-B648-B44CEF9127F2}" xr6:coauthVersionLast="31" xr6:coauthVersionMax="31" xr10:uidLastSave="{00000000-0000-0000-0000-000000000000}"/>
  <bookViews>
    <workbookView xWindow="0" yWindow="0" windowWidth="3765" windowHeight="570" firstSheet="1" activeTab="1" xr2:uid="{BD979A15-57C5-4234-A4B6-DE3D1849CABC}"/>
  </bookViews>
  <sheets>
    <sheet name="BP Formulas - Do-more" sheetId="5" r:id="rId1"/>
    <sheet name="BP Formulas - Eng-Click" sheetId="8" r:id="rId2"/>
  </sheets>
  <definedNames>
    <definedName name="Di">'BP Formulas - Eng-Click'!$C$20</definedName>
    <definedName name="Di_a" localSheetId="0">'BP Formulas - Do-more'!$C$25</definedName>
    <definedName name="Di_a" localSheetId="1">'BP Formulas - Eng-Click'!$C$23</definedName>
    <definedName name="Di_a">#REF!</definedName>
    <definedName name="Di_aa">'BP Formulas - Eng-Click'!$H$20</definedName>
    <definedName name="Di_b">#REF!</definedName>
    <definedName name="Di_bb">'BP Formulas - Eng-Click'!$H$23</definedName>
    <definedName name="Di_c">'BP Formulas - Eng-Click'!$H$20</definedName>
    <definedName name="DT" localSheetId="0">'BP Formulas - Do-more'!$C$16</definedName>
    <definedName name="DT" localSheetId="1">'BP Formulas - Eng-Click'!$C$12</definedName>
    <definedName name="DT">#REF!</definedName>
    <definedName name="DT_b">#REF!</definedName>
    <definedName name="Ii" localSheetId="0">'BP Formulas - Do-more'!$C$21</definedName>
    <definedName name="Ii" localSheetId="1">'BP Formulas - Eng-Click'!$C$19</definedName>
    <definedName name="Ii">#REF!</definedName>
    <definedName name="Ii_a" localSheetId="0">'BP Formulas - Do-more'!$C$24</definedName>
    <definedName name="Ii_a" localSheetId="1">'BP Formulas - Eng-Click'!$C$22</definedName>
    <definedName name="Ii_a">#REF!</definedName>
    <definedName name="Ii_aa">'BP Formulas - Eng-Click'!$H$19</definedName>
    <definedName name="Ii_b">#REF!</definedName>
    <definedName name="Ii_bb">'BP Formulas - Eng-Click'!$H$22</definedName>
    <definedName name="Ii_c">#REF!</definedName>
    <definedName name="nPG" localSheetId="0">'BP Formulas - Do-more'!#REF!</definedName>
    <definedName name="nPG" localSheetId="1">'BP Formulas - Eng-Click'!#REF!</definedName>
    <definedName name="nPG">#REF!</definedName>
    <definedName name="nPG_b">#REF!</definedName>
    <definedName name="PG" localSheetId="0">'BP Formulas - Do-more'!$C$14</definedName>
    <definedName name="PG" localSheetId="1">'BP Formulas - Eng-Click'!$C$10</definedName>
    <definedName name="PG">#REF!</definedName>
    <definedName name="PG_b">#REF!</definedName>
    <definedName name="Pi" localSheetId="0">'BP Formulas - Do-more'!$C$20</definedName>
    <definedName name="Pi" localSheetId="1">'BP Formulas - Eng-Click'!$C$18</definedName>
    <definedName name="Pi">#REF!</definedName>
    <definedName name="Pi_a" localSheetId="0">'BP Formulas - Do-more'!$C$23</definedName>
    <definedName name="Pi_a" localSheetId="1">'BP Formulas - Eng-Click'!$C$21</definedName>
    <definedName name="Pi_a">#REF!</definedName>
    <definedName name="Pi_aa">'BP Formulas - Eng-Click'!$H$18</definedName>
    <definedName name="Pi_b">#REF!</definedName>
    <definedName name="Pi_b1">#REF!</definedName>
    <definedName name="Pi_bb">'BP Formulas - Eng-Click'!$H$21</definedName>
    <definedName name="PV_Max" localSheetId="0">'BP Formulas - Do-more'!$C$10</definedName>
    <definedName name="PV_Max" localSheetId="1">'BP Formulas - Eng-Click'!#REF!</definedName>
    <definedName name="PV_Max">#REF!</definedName>
    <definedName name="PV_Max_b">#REF!</definedName>
    <definedName name="PV_Min" localSheetId="0">'BP Formulas - Do-more'!$C$11</definedName>
    <definedName name="PV_Min" localSheetId="1">'BP Formulas - Eng-Click'!#REF!</definedName>
    <definedName name="PV_Min">#REF!</definedName>
    <definedName name="PV_Min_b">#REF!</definedName>
    <definedName name="t" localSheetId="0">'BP Formulas - Do-more'!$C$9</definedName>
    <definedName name="t" localSheetId="1">'BP Formulas - Eng-Click'!#REF!</definedName>
    <definedName name="t">#REF!</definedName>
    <definedName name="T_25" localSheetId="0">'BP Formulas - Do-more'!$C$7</definedName>
    <definedName name="T_25" localSheetId="1">'BP Formulas - Eng-Click'!#REF!</definedName>
    <definedName name="T_25">#REF!</definedName>
    <definedName name="T_75" localSheetId="0">'BP Formulas - Do-more'!$C$8</definedName>
    <definedName name="T_75" localSheetId="1">'BP Formulas - Eng-Click'!#REF!</definedName>
    <definedName name="T_75">#REF!</definedName>
    <definedName name="t_b">#REF!</definedName>
    <definedName name="T0" localSheetId="0">'BP Formulas - Do-more'!$C$6</definedName>
    <definedName name="T0" localSheetId="1">'BP Formulas - Eng-Click'!#REF!</definedName>
    <definedName name="T0">#REF!</definedName>
    <definedName name="T0_b">#REF!</definedName>
    <definedName name="T25_b">#REF!</definedName>
    <definedName name="T75_b">#REF!</definedName>
    <definedName name="TC" localSheetId="0">'BP Formulas - Do-more'!$C$15</definedName>
    <definedName name="TC" localSheetId="1">'BP Formulas - Eng-Click'!$C$11</definedName>
    <definedName name="TC">#REF!</definedName>
    <definedName name="TC_b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8" l="1"/>
  <c r="H27" i="8" s="1"/>
  <c r="C10" i="8" l="1"/>
  <c r="C27" i="8" s="1"/>
  <c r="H21" i="8" l="1"/>
  <c r="H23" i="8"/>
  <c r="C23" i="8"/>
  <c r="H22" i="8"/>
  <c r="C22" i="8"/>
  <c r="H19" i="8"/>
  <c r="H41" i="8" s="1"/>
  <c r="C19" i="8"/>
  <c r="P10" i="8"/>
  <c r="P9" i="8"/>
  <c r="C41" i="8" l="1"/>
  <c r="C45" i="8"/>
  <c r="H43" i="8"/>
  <c r="H44" i="8"/>
  <c r="H45" i="8"/>
  <c r="H32" i="8"/>
  <c r="H34" i="8"/>
  <c r="H33" i="8"/>
  <c r="C18" i="8"/>
  <c r="C40" i="8" s="1"/>
  <c r="H18" i="8"/>
  <c r="H38" i="8" s="1"/>
  <c r="C21" i="8"/>
  <c r="C33" i="8" s="1"/>
  <c r="C44" i="8"/>
  <c r="H29" i="8" l="1"/>
  <c r="H40" i="8"/>
  <c r="C29" i="8"/>
  <c r="H30" i="8"/>
  <c r="C32" i="8"/>
  <c r="C43" i="8"/>
  <c r="C34" i="8"/>
  <c r="C30" i="8"/>
  <c r="C14" i="5"/>
  <c r="P13" i="5"/>
  <c r="P14" i="5" s="1"/>
  <c r="Q6" i="5"/>
  <c r="Q8" i="5" s="1"/>
  <c r="C8" i="5" s="1"/>
  <c r="P6" i="5"/>
  <c r="P8" i="5" s="1"/>
  <c r="C7" i="5" s="1"/>
  <c r="C15" i="5" l="1"/>
  <c r="H23" i="5" l="1"/>
  <c r="H20" i="5"/>
  <c r="H29" i="5" s="1"/>
  <c r="C20" i="5"/>
  <c r="C23" i="5"/>
  <c r="E16" i="5"/>
  <c r="H21" i="5"/>
  <c r="C21" i="5"/>
  <c r="C25" i="5"/>
  <c r="H24" i="5"/>
  <c r="H25" i="5"/>
  <c r="C24" i="5"/>
  <c r="H30" i="5" l="1"/>
  <c r="C41" i="5"/>
  <c r="C34" i="5"/>
  <c r="C32" i="5"/>
  <c r="C29" i="5"/>
  <c r="H34" i="5"/>
  <c r="H32" i="5"/>
  <c r="C43" i="5"/>
  <c r="C42" i="5"/>
  <c r="C33" i="5"/>
  <c r="H33" i="5"/>
  <c r="C30" i="5"/>
  <c r="C38" i="5" l="1"/>
</calcChain>
</file>

<file path=xl/sharedStrings.xml><?xml version="1.0" encoding="utf-8"?>
<sst xmlns="http://schemas.openxmlformats.org/spreadsheetml/2006/main" count="128" uniqueCount="46">
  <si>
    <t>dPV</t>
  </si>
  <si>
    <t>T0</t>
  </si>
  <si>
    <t>T25</t>
  </si>
  <si>
    <t>T75</t>
  </si>
  <si>
    <t>%</t>
  </si>
  <si>
    <t>Process Units (ie "Degrees F)</t>
  </si>
  <si>
    <t>sec</t>
  </si>
  <si>
    <t>PG</t>
  </si>
  <si>
    <t>TC</t>
  </si>
  <si>
    <t>DT</t>
  </si>
  <si>
    <t>P</t>
  </si>
  <si>
    <t>I</t>
  </si>
  <si>
    <t>t</t>
  </si>
  <si>
    <t>A</t>
  </si>
  <si>
    <t>B</t>
  </si>
  <si>
    <t>D</t>
  </si>
  <si>
    <t>PV_Max</t>
  </si>
  <si>
    <t>PV_Min</t>
  </si>
  <si>
    <t>Serial</t>
  </si>
  <si>
    <t>4-20mA input range</t>
  </si>
  <si>
    <t>t25</t>
  </si>
  <si>
    <t>t75</t>
  </si>
  <si>
    <t>TC.63</t>
  </si>
  <si>
    <t>dOutput</t>
  </si>
  <si>
    <t>DATA ENTRY</t>
  </si>
  <si>
    <t>CALCULATED</t>
  </si>
  <si>
    <t>Calc DT:</t>
  </si>
  <si>
    <t>ISA/Dependant - SP Change</t>
  </si>
  <si>
    <t>ISA/Dependant - Load Change</t>
  </si>
  <si>
    <t>Parallel/Independent - SP Change</t>
  </si>
  <si>
    <t>Parallel/Independent Load Change</t>
  </si>
  <si>
    <t>PID Blueprint Cheat Sheet for Temperature Demo</t>
  </si>
  <si>
    <t xml:space="preserve">     Parallel/Independent - SP Change</t>
  </si>
  <si>
    <t xml:space="preserve">     Parallel/Independent Load Change</t>
  </si>
  <si>
    <t xml:space="preserve">t </t>
  </si>
  <si>
    <t>&gt;&gt; raise this to get more aggressive coeffs</t>
  </si>
  <si>
    <t>&gt;&gt; lower this to get more aggressive coeffs</t>
  </si>
  <si>
    <t>eng units</t>
  </si>
  <si>
    <t>n.a.</t>
  </si>
  <si>
    <t xml:space="preserve">      Serial - SP Change</t>
  </si>
  <si>
    <t xml:space="preserve">     Serial - Load Change</t>
  </si>
  <si>
    <t xml:space="preserve"> </t>
  </si>
  <si>
    <t xml:space="preserve">     ISA/Dependent - SP Change</t>
  </si>
  <si>
    <t xml:space="preserve">     ISA/Dependent - Load Change</t>
  </si>
  <si>
    <r>
      <t xml:space="preserve">sec </t>
    </r>
    <r>
      <rPr>
        <sz val="11"/>
        <color rgb="FFFF0000"/>
        <rFont val="Arial"/>
        <family val="2"/>
      </rPr>
      <t>**</t>
    </r>
  </si>
  <si>
    <t>** we measured these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</si>
</sst>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 x14ac:knownFonts="1">
    <font>
      <sz val="11"/>
      <color theme="1"/>
      <name val="Times New Roman"/>
      <family val="2"/>
    </font>
    <font>
      <sz val="12"/>
      <color rgb="FF22222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4"/>
      <name val="Arial"/>
      <family val="2"/>
    </font>
    <font>
      <b/>
      <sz val="11"/>
      <color rgb="FFFF0000"/>
      <name val="Arial"/>
      <family val="2"/>
    </font>
    <font>
      <sz val="11"/>
      <color theme="4"/>
      <name val="Arial"/>
      <family val="2"/>
    </font>
    <font>
      <sz val="11"/>
      <color theme="1"/>
      <name val="Arial Black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right"/>
    </xf>
    <xf numFmtId="21" fontId="0" fillId="0" borderId="0" xfId="0" applyNumberFormat="1"/>
    <xf numFmtId="47" fontId="0" fillId="0" borderId="0" xfId="0" applyNumberFormat="1"/>
    <xf numFmtId="47" fontId="0" fillId="0" borderId="0" xfId="0" applyNumberFormat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2" fontId="1" fillId="4" borderId="0" xfId="0" applyNumberFormat="1" applyFont="1" applyFill="1"/>
    <xf numFmtId="9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right"/>
    </xf>
    <xf numFmtId="2" fontId="3" fillId="4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4" borderId="0" xfId="0" applyFont="1" applyFill="1"/>
    <xf numFmtId="2" fontId="5" fillId="0" borderId="3" xfId="0" applyNumberFormat="1" applyFont="1" applyBorder="1" applyAlignment="1">
      <alignment horizontal="left"/>
    </xf>
    <xf numFmtId="0" fontId="3" fillId="0" borderId="13" xfId="0" applyFont="1" applyBorder="1"/>
    <xf numFmtId="0" fontId="2" fillId="0" borderId="14" xfId="0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8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right"/>
    </xf>
    <xf numFmtId="2" fontId="2" fillId="2" borderId="1" xfId="0" applyNumberFormat="1" applyFont="1" applyFill="1" applyBorder="1"/>
    <xf numFmtId="0" fontId="2" fillId="2" borderId="10" xfId="0" applyFont="1" applyFill="1" applyBorder="1" applyAlignment="1">
      <alignment horizontal="right"/>
    </xf>
    <xf numFmtId="2" fontId="2" fillId="2" borderId="11" xfId="0" applyNumberFormat="1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right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7" xfId="0" applyFont="1" applyFill="1" applyBorder="1"/>
    <xf numFmtId="0" fontId="2" fillId="3" borderId="8" xfId="0" applyFont="1" applyFill="1" applyBorder="1" applyAlignment="1">
      <alignment horizontal="right"/>
    </xf>
    <xf numFmtId="2" fontId="2" fillId="3" borderId="1" xfId="0" applyNumberFormat="1" applyFont="1" applyFill="1" applyBorder="1"/>
    <xf numFmtId="0" fontId="3" fillId="3" borderId="1" xfId="0" applyFont="1" applyFill="1" applyBorder="1"/>
    <xf numFmtId="0" fontId="3" fillId="3" borderId="9" xfId="0" applyFont="1" applyFill="1" applyBorder="1"/>
    <xf numFmtId="0" fontId="2" fillId="3" borderId="10" xfId="0" applyFont="1" applyFill="1" applyBorder="1" applyAlignment="1">
      <alignment horizontal="right"/>
    </xf>
    <xf numFmtId="2" fontId="2" fillId="3" borderId="11" xfId="0" applyNumberFormat="1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7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2" fillId="0" borderId="15" xfId="0" applyFont="1" applyBorder="1"/>
    <xf numFmtId="0" fontId="3" fillId="5" borderId="4" xfId="0" applyFont="1" applyFill="1" applyBorder="1"/>
    <xf numFmtId="0" fontId="2" fillId="5" borderId="4" xfId="0" applyFont="1" applyFill="1" applyBorder="1"/>
    <xf numFmtId="0" fontId="2" fillId="0" borderId="18" xfId="0" applyFont="1" applyBorder="1" applyAlignment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14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2" fillId="0" borderId="18" xfId="0" applyFont="1" applyFill="1" applyBorder="1" applyAlignment="1">
      <alignment horizontal="left"/>
    </xf>
    <xf numFmtId="0" fontId="2" fillId="0" borderId="15" xfId="0" applyFont="1" applyFill="1" applyBorder="1"/>
    <xf numFmtId="0" fontId="2" fillId="0" borderId="19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2" fillId="6" borderId="8" xfId="0" applyFont="1" applyFill="1" applyBorder="1" applyAlignment="1">
      <alignment horizontal="right"/>
    </xf>
    <xf numFmtId="2" fontId="2" fillId="6" borderId="1" xfId="0" applyNumberFormat="1" applyFont="1" applyFill="1" applyBorder="1"/>
    <xf numFmtId="0" fontId="3" fillId="6" borderId="1" xfId="0" applyFont="1" applyFill="1" applyBorder="1"/>
    <xf numFmtId="0" fontId="2" fillId="6" borderId="10" xfId="0" applyFont="1" applyFill="1" applyBorder="1" applyAlignment="1">
      <alignment horizontal="right"/>
    </xf>
    <xf numFmtId="2" fontId="2" fillId="6" borderId="11" xfId="0" applyNumberFormat="1" applyFont="1" applyFill="1" applyBorder="1"/>
    <xf numFmtId="0" fontId="2" fillId="6" borderId="16" xfId="0" applyFont="1" applyFill="1" applyBorder="1" applyAlignment="1">
      <alignment horizontal="right"/>
    </xf>
    <xf numFmtId="0" fontId="2" fillId="6" borderId="17" xfId="0" applyFont="1" applyFill="1" applyBorder="1" applyAlignment="1">
      <alignment horizontal="right"/>
    </xf>
    <xf numFmtId="0" fontId="3" fillId="6" borderId="16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left"/>
    </xf>
    <xf numFmtId="0" fontId="2" fillId="3" borderId="21" xfId="0" applyFont="1" applyFill="1" applyBorder="1"/>
    <xf numFmtId="0" fontId="2" fillId="3" borderId="22" xfId="0" applyFont="1" applyFill="1" applyBorder="1"/>
    <xf numFmtId="0" fontId="2" fillId="3" borderId="23" xfId="0" applyFont="1" applyFill="1" applyBorder="1" applyAlignment="1">
      <alignment horizontal="left"/>
    </xf>
    <xf numFmtId="0" fontId="3" fillId="3" borderId="21" xfId="0" applyFont="1" applyFill="1" applyBorder="1"/>
    <xf numFmtId="0" fontId="3" fillId="3" borderId="22" xfId="0" applyFont="1" applyFill="1" applyBorder="1"/>
    <xf numFmtId="0" fontId="2" fillId="3" borderId="20" xfId="0" applyFont="1" applyFill="1" applyBorder="1" applyAlignment="1">
      <alignment horizontal="right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2" fillId="6" borderId="1" xfId="0" applyNumberFormat="1" applyFont="1" applyFill="1" applyBorder="1" applyAlignment="1">
      <alignment horizontal="right"/>
    </xf>
    <xf numFmtId="2" fontId="2" fillId="3" borderId="21" xfId="0" applyNumberFormat="1" applyFont="1" applyFill="1" applyBorder="1" applyAlignment="1">
      <alignment horizontal="righ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00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A580-E4EA-4E13-9BC6-B522F73B0330}">
  <dimension ref="B2:Q43"/>
  <sheetViews>
    <sheetView zoomScale="103" zoomScaleNormal="103" workbookViewId="0">
      <selection activeCell="K37" sqref="K37"/>
    </sheetView>
  </sheetViews>
  <sheetFormatPr defaultRowHeight="15" x14ac:dyDescent="0.25"/>
  <cols>
    <col min="1" max="1" width="6.5703125" customWidth="1"/>
    <col min="2" max="2" width="10" customWidth="1"/>
    <col min="3" max="3" width="10.7109375" customWidth="1"/>
    <col min="6" max="6" width="4.85546875" customWidth="1"/>
    <col min="7" max="7" width="7.7109375" customWidth="1"/>
    <col min="8" max="8" width="12" customWidth="1"/>
    <col min="9" max="9" width="14.42578125" customWidth="1"/>
    <col min="10" max="10" width="8.85546875" customWidth="1"/>
    <col min="11" max="11" width="49.28515625" customWidth="1"/>
    <col min="17" max="17" width="11.85546875" bestFit="1" customWidth="1"/>
  </cols>
  <sheetData>
    <row r="2" spans="2:17" ht="18.75" x14ac:dyDescent="0.4">
      <c r="D2" s="47" t="s">
        <v>31</v>
      </c>
    </row>
    <row r="3" spans="2:17" x14ac:dyDescent="0.25">
      <c r="B3" s="13" t="s">
        <v>24</v>
      </c>
      <c r="C3" s="15"/>
      <c r="D3" s="10"/>
      <c r="E3" s="10"/>
      <c r="F3" s="10"/>
      <c r="G3" s="10"/>
      <c r="H3" s="10"/>
      <c r="I3" s="10"/>
      <c r="J3" s="10"/>
    </row>
    <row r="4" spans="2:17" x14ac:dyDescent="0.25">
      <c r="B4" s="10" t="s">
        <v>23</v>
      </c>
      <c r="C4" s="16">
        <v>5</v>
      </c>
      <c r="D4" s="10" t="s">
        <v>4</v>
      </c>
      <c r="E4" s="10"/>
      <c r="F4" s="10"/>
      <c r="G4" s="10"/>
      <c r="H4" s="10"/>
      <c r="I4" s="10"/>
      <c r="J4" s="10"/>
      <c r="P4" s="4">
        <v>3.679884259259259E-3</v>
      </c>
      <c r="Q4" s="4">
        <v>3.679884259259259E-3</v>
      </c>
    </row>
    <row r="5" spans="2:17" x14ac:dyDescent="0.25">
      <c r="B5" s="10" t="s">
        <v>0</v>
      </c>
      <c r="C5" s="16">
        <v>6.5</v>
      </c>
      <c r="D5" s="10" t="s">
        <v>5</v>
      </c>
      <c r="E5" s="10"/>
      <c r="F5" s="10"/>
      <c r="G5" s="10"/>
      <c r="H5" s="10"/>
      <c r="I5" s="10"/>
      <c r="J5" s="10"/>
      <c r="P5" s="4">
        <v>4.4078935185185185E-3</v>
      </c>
      <c r="Q5" s="4">
        <v>7.4401967592592592E-3</v>
      </c>
    </row>
    <row r="6" spans="2:17" x14ac:dyDescent="0.25">
      <c r="B6" s="10" t="s">
        <v>1</v>
      </c>
      <c r="C6" s="16">
        <v>0</v>
      </c>
      <c r="D6" s="10" t="s">
        <v>6</v>
      </c>
      <c r="E6" s="10"/>
      <c r="F6" s="10"/>
      <c r="G6" s="10"/>
      <c r="H6" s="10"/>
      <c r="I6" s="10"/>
      <c r="J6" s="10"/>
      <c r="P6" s="4">
        <f>P5-P4</f>
        <v>7.2800925925925941E-4</v>
      </c>
      <c r="Q6" s="4">
        <f>Q5-Q4</f>
        <v>3.7603125000000002E-3</v>
      </c>
    </row>
    <row r="7" spans="2:17" x14ac:dyDescent="0.25">
      <c r="B7" s="10" t="s">
        <v>2</v>
      </c>
      <c r="C7" s="12">
        <f>P8</f>
        <v>62.900000000000013</v>
      </c>
      <c r="D7" s="10" t="s">
        <v>6</v>
      </c>
      <c r="E7" s="10"/>
      <c r="F7" s="10"/>
      <c r="G7" s="10"/>
      <c r="H7" s="10"/>
      <c r="I7" s="10"/>
      <c r="J7" s="10"/>
      <c r="P7" s="5" t="s">
        <v>20</v>
      </c>
      <c r="Q7" s="6" t="s">
        <v>21</v>
      </c>
    </row>
    <row r="8" spans="2:17" ht="15.75" x14ac:dyDescent="0.25">
      <c r="B8" s="10" t="s">
        <v>3</v>
      </c>
      <c r="C8" s="12">
        <f>Q8</f>
        <v>324.89100000000002</v>
      </c>
      <c r="D8" s="10" t="s">
        <v>6</v>
      </c>
      <c r="E8" s="10"/>
      <c r="F8" s="10"/>
      <c r="G8" s="10"/>
      <c r="H8" s="10"/>
      <c r="I8" s="10"/>
      <c r="J8" s="10"/>
      <c r="P8" s="7">
        <f>P6*86400</f>
        <v>62.900000000000013</v>
      </c>
      <c r="Q8" s="7">
        <f>Q6*86400</f>
        <v>324.89100000000002</v>
      </c>
    </row>
    <row r="9" spans="2:17" x14ac:dyDescent="0.25">
      <c r="B9" s="10" t="s">
        <v>12</v>
      </c>
      <c r="C9" s="16">
        <v>1</v>
      </c>
      <c r="D9" s="10" t="s">
        <v>6</v>
      </c>
      <c r="E9" s="10"/>
      <c r="F9" s="10"/>
      <c r="G9" s="10"/>
      <c r="H9" s="10"/>
      <c r="I9" s="10"/>
      <c r="J9" s="10"/>
    </row>
    <row r="10" spans="2:17" x14ac:dyDescent="0.25">
      <c r="B10" s="10" t="s">
        <v>16</v>
      </c>
      <c r="C10" s="16">
        <v>166</v>
      </c>
      <c r="D10" s="10"/>
      <c r="E10" s="10" t="s">
        <v>19</v>
      </c>
      <c r="F10" s="10"/>
      <c r="G10" s="10"/>
      <c r="H10" s="10"/>
      <c r="I10" s="10"/>
      <c r="J10" s="10"/>
      <c r="P10" s="8">
        <v>0.65</v>
      </c>
    </row>
    <row r="11" spans="2:17" x14ac:dyDescent="0.25">
      <c r="B11" s="10" t="s">
        <v>17</v>
      </c>
      <c r="C11" s="16">
        <v>73</v>
      </c>
      <c r="D11" s="10"/>
      <c r="E11" s="10"/>
      <c r="F11" s="10"/>
      <c r="G11" s="10"/>
      <c r="H11" s="10"/>
      <c r="I11" s="10"/>
      <c r="J11" s="10"/>
      <c r="P11" s="3">
        <v>0.59794907407407405</v>
      </c>
    </row>
    <row r="12" spans="2:17" x14ac:dyDescent="0.25">
      <c r="B12" s="10"/>
      <c r="C12" s="10"/>
      <c r="D12" s="10"/>
      <c r="E12" s="10"/>
      <c r="F12" s="10"/>
      <c r="G12" s="10"/>
      <c r="H12" s="10"/>
      <c r="I12" s="10"/>
      <c r="J12" s="10"/>
      <c r="P12" s="2">
        <v>0.59356481481481482</v>
      </c>
    </row>
    <row r="13" spans="2:17" x14ac:dyDescent="0.25">
      <c r="B13" s="14" t="s">
        <v>25</v>
      </c>
      <c r="C13" s="10"/>
      <c r="D13" s="10"/>
      <c r="E13" s="10"/>
      <c r="F13" s="10"/>
      <c r="G13" s="10"/>
      <c r="H13" s="10"/>
      <c r="I13" s="10"/>
      <c r="J13" s="10"/>
      <c r="P13" s="3">
        <f>P11-P12</f>
        <v>4.3842592592592267E-3</v>
      </c>
    </row>
    <row r="14" spans="2:17" ht="15.75" x14ac:dyDescent="0.25">
      <c r="B14" s="10" t="s">
        <v>7</v>
      </c>
      <c r="C14" s="10">
        <f>C5/C4</f>
        <v>1.3</v>
      </c>
      <c r="D14" s="10"/>
      <c r="E14" s="10"/>
      <c r="F14" s="10"/>
      <c r="G14" s="10"/>
      <c r="H14" s="10"/>
      <c r="I14" s="10"/>
      <c r="J14" s="10"/>
      <c r="P14" s="7">
        <f>P13*86400</f>
        <v>378.79999999999717</v>
      </c>
      <c r="Q14" t="s">
        <v>22</v>
      </c>
    </row>
    <row r="15" spans="2:17" ht="15.75" thickBot="1" x14ac:dyDescent="0.3">
      <c r="B15" s="10" t="s">
        <v>8</v>
      </c>
      <c r="C15" s="10">
        <f>0.9*(T_75-T_25)</f>
        <v>235.7919</v>
      </c>
      <c r="D15" s="10"/>
      <c r="E15" s="10"/>
      <c r="F15" s="10"/>
      <c r="G15" s="10"/>
      <c r="H15" s="10"/>
      <c r="I15" s="10"/>
      <c r="J15" s="10"/>
    </row>
    <row r="16" spans="2:17" ht="15.75" thickBot="1" x14ac:dyDescent="0.3">
      <c r="B16" s="10" t="s">
        <v>9</v>
      </c>
      <c r="C16" s="10">
        <v>5</v>
      </c>
      <c r="D16" s="11" t="s">
        <v>26</v>
      </c>
      <c r="E16" s="17">
        <f>(T_75-T0)-(1.4*TC)+t</f>
        <v>-4.2176599999999667</v>
      </c>
      <c r="F16" s="10"/>
      <c r="G16" s="10"/>
      <c r="H16" s="10"/>
      <c r="I16" s="10"/>
      <c r="J16" s="10"/>
    </row>
    <row r="17" spans="2:10" ht="15.75" thickBot="1" x14ac:dyDescent="0.3">
      <c r="B17" s="10"/>
      <c r="C17" s="10"/>
      <c r="D17" s="10"/>
      <c r="E17" s="10"/>
      <c r="F17" s="10"/>
      <c r="G17" s="10"/>
      <c r="H17" s="10"/>
      <c r="I17" s="10"/>
      <c r="J17" s="10"/>
    </row>
    <row r="18" spans="2:10" x14ac:dyDescent="0.25">
      <c r="B18" s="18"/>
      <c r="C18" s="19" t="s">
        <v>27</v>
      </c>
      <c r="D18" s="20"/>
      <c r="E18" s="20"/>
      <c r="F18" s="20"/>
      <c r="G18" s="18"/>
      <c r="H18" s="19" t="s">
        <v>28</v>
      </c>
      <c r="I18" s="20"/>
      <c r="J18" s="21"/>
    </row>
    <row r="19" spans="2:10" x14ac:dyDescent="0.25">
      <c r="B19" s="22"/>
      <c r="C19" s="23"/>
      <c r="D19" s="24" t="s">
        <v>13</v>
      </c>
      <c r="E19" s="24" t="s">
        <v>14</v>
      </c>
      <c r="F19" s="23"/>
      <c r="G19" s="25"/>
      <c r="H19" s="23"/>
      <c r="I19" s="24" t="s">
        <v>13</v>
      </c>
      <c r="J19" s="26" t="s">
        <v>14</v>
      </c>
    </row>
    <row r="20" spans="2:10" x14ac:dyDescent="0.25">
      <c r="B20" s="27" t="s">
        <v>10</v>
      </c>
      <c r="C20" s="28">
        <f xml:space="preserve"> D20/PG * (DT/TC)^E20</f>
        <v>16.093853622131867</v>
      </c>
      <c r="D20" s="24">
        <v>0.75800000000000001</v>
      </c>
      <c r="E20" s="24">
        <v>-0.86099999999999999</v>
      </c>
      <c r="F20" s="23"/>
      <c r="G20" s="48" t="s">
        <v>10</v>
      </c>
      <c r="H20" s="28">
        <f xml:space="preserve"> I20/PG * (DT/TC)^J20</f>
        <v>33.820560399717124</v>
      </c>
      <c r="I20" s="24">
        <v>0.98399999999999999</v>
      </c>
      <c r="J20" s="26">
        <v>-0.98599999999999999</v>
      </c>
    </row>
    <row r="21" spans="2:10" x14ac:dyDescent="0.25">
      <c r="B21" s="27" t="s">
        <v>11</v>
      </c>
      <c r="C21" s="28">
        <f>TC/(D21*(DT/TC)^E21)</f>
        <v>66.583894384378112</v>
      </c>
      <c r="D21" s="24">
        <v>1.02</v>
      </c>
      <c r="E21" s="24">
        <v>-0.32300000000000001</v>
      </c>
      <c r="F21" s="23"/>
      <c r="G21" s="48" t="s">
        <v>11</v>
      </c>
      <c r="H21" s="28">
        <f>TC/(I21*(DT/TC)^J21)</f>
        <v>25.434264081682741</v>
      </c>
      <c r="I21" s="24">
        <v>0.60799999999999998</v>
      </c>
      <c r="J21" s="26">
        <v>-0.70699999999999996</v>
      </c>
    </row>
    <row r="22" spans="2:10" x14ac:dyDescent="0.25">
      <c r="B22" s="27"/>
      <c r="C22" s="28"/>
      <c r="D22" s="24"/>
      <c r="E22" s="24"/>
      <c r="F22" s="23"/>
      <c r="G22" s="48"/>
      <c r="H22" s="28"/>
      <c r="I22" s="24"/>
      <c r="J22" s="26"/>
    </row>
    <row r="23" spans="2:10" x14ac:dyDescent="0.25">
      <c r="B23" s="27" t="s">
        <v>10</v>
      </c>
      <c r="C23" s="28">
        <f xml:space="preserve"> D23/PG * (DT/TC)^E23</f>
        <v>23.779851467738975</v>
      </c>
      <c r="D23" s="24">
        <v>1.0860000000000001</v>
      </c>
      <c r="E23" s="24">
        <v>-0.86899999999999999</v>
      </c>
      <c r="F23" s="23"/>
      <c r="G23" s="48" t="s">
        <v>10</v>
      </c>
      <c r="H23" s="28">
        <f xml:space="preserve"> I23/PG * (DT/TC)^J23</f>
        <v>38.393373610917408</v>
      </c>
      <c r="I23" s="24">
        <v>1.4350000000000001</v>
      </c>
      <c r="J23" s="26">
        <v>-0.92100000000000004</v>
      </c>
    </row>
    <row r="24" spans="2:10" x14ac:dyDescent="0.25">
      <c r="B24" s="27" t="s">
        <v>11</v>
      </c>
      <c r="C24" s="28">
        <f>TC/(D24*(DT/TC)^E24)</f>
        <v>193.07876318144483</v>
      </c>
      <c r="D24" s="24">
        <v>0.74</v>
      </c>
      <c r="E24" s="24">
        <v>-0.13</v>
      </c>
      <c r="F24" s="23"/>
      <c r="G24" s="48" t="s">
        <v>11</v>
      </c>
      <c r="H24" s="28">
        <f>TC/(I24*(DT/TC)^J24)</f>
        <v>14.980929723594809</v>
      </c>
      <c r="I24" s="24">
        <v>0.878</v>
      </c>
      <c r="J24" s="26">
        <v>-0.749</v>
      </c>
    </row>
    <row r="25" spans="2:10" ht="15.75" thickBot="1" x14ac:dyDescent="0.3">
      <c r="B25" s="29" t="s">
        <v>15</v>
      </c>
      <c r="C25" s="30">
        <f xml:space="preserve"> TC * D25 * (DT/TC)^E25</f>
        <v>2.4236801822450698</v>
      </c>
      <c r="D25" s="31">
        <v>0.34799999999999998</v>
      </c>
      <c r="E25" s="31">
        <v>0.91400000000000003</v>
      </c>
      <c r="F25" s="32"/>
      <c r="G25" s="49" t="s">
        <v>15</v>
      </c>
      <c r="H25" s="30">
        <f xml:space="preserve"> TC * I25 * (DT/TC)^J25</f>
        <v>1.4214758193743215</v>
      </c>
      <c r="I25" s="31">
        <v>0.48199999999999998</v>
      </c>
      <c r="J25" s="33">
        <v>1.137</v>
      </c>
    </row>
    <row r="26" spans="2:10" x14ac:dyDescent="0.25">
      <c r="B26" s="10"/>
      <c r="C26" s="10"/>
      <c r="D26" s="10"/>
      <c r="E26" s="10"/>
      <c r="F26" s="10"/>
      <c r="G26" s="9"/>
      <c r="H26" s="10"/>
      <c r="I26" s="10"/>
      <c r="J26" s="10"/>
    </row>
    <row r="27" spans="2:10" ht="15.75" thickBot="1" x14ac:dyDescent="0.3">
      <c r="B27" s="10"/>
      <c r="C27" s="10"/>
      <c r="D27" s="10"/>
      <c r="E27" s="10"/>
      <c r="F27" s="10"/>
      <c r="G27" s="9"/>
      <c r="H27" s="10"/>
      <c r="I27" s="10"/>
      <c r="J27" s="10"/>
    </row>
    <row r="28" spans="2:10" x14ac:dyDescent="0.25">
      <c r="B28" s="34"/>
      <c r="C28" s="35" t="s">
        <v>29</v>
      </c>
      <c r="D28" s="35"/>
      <c r="E28" s="35"/>
      <c r="F28" s="35"/>
      <c r="G28" s="36"/>
      <c r="H28" s="35" t="s">
        <v>30</v>
      </c>
      <c r="I28" s="37"/>
      <c r="J28" s="38"/>
    </row>
    <row r="29" spans="2:10" x14ac:dyDescent="0.25">
      <c r="B29" s="39" t="s">
        <v>10</v>
      </c>
      <c r="C29" s="40">
        <f>Pi</f>
        <v>16.093853622131867</v>
      </c>
      <c r="D29" s="41"/>
      <c r="E29" s="41"/>
      <c r="F29" s="41"/>
      <c r="G29" s="50" t="s">
        <v>10</v>
      </c>
      <c r="H29" s="40">
        <f>H20</f>
        <v>33.820560399717124</v>
      </c>
      <c r="I29" s="41"/>
      <c r="J29" s="42"/>
    </row>
    <row r="30" spans="2:10" x14ac:dyDescent="0.25">
      <c r="B30" s="39" t="s">
        <v>11</v>
      </c>
      <c r="C30" s="40">
        <f>Ii/Pi</f>
        <v>4.1372250517311526</v>
      </c>
      <c r="D30" s="41"/>
      <c r="E30" s="41"/>
      <c r="F30" s="41"/>
      <c r="G30" s="50" t="s">
        <v>11</v>
      </c>
      <c r="H30" s="40">
        <f>H21/H20</f>
        <v>0.75203556005817906</v>
      </c>
      <c r="I30" s="41"/>
      <c r="J30" s="42"/>
    </row>
    <row r="31" spans="2:10" x14ac:dyDescent="0.25">
      <c r="B31" s="39"/>
      <c r="C31" s="40"/>
      <c r="D31" s="41"/>
      <c r="E31" s="41"/>
      <c r="F31" s="41"/>
      <c r="G31" s="50"/>
      <c r="H31" s="40"/>
      <c r="I31" s="41"/>
      <c r="J31" s="42"/>
    </row>
    <row r="32" spans="2:10" x14ac:dyDescent="0.25">
      <c r="B32" s="39" t="s">
        <v>10</v>
      </c>
      <c r="C32" s="40">
        <f>Pi_a</f>
        <v>23.779851467738975</v>
      </c>
      <c r="D32" s="41"/>
      <c r="E32" s="41"/>
      <c r="F32" s="41"/>
      <c r="G32" s="50" t="s">
        <v>10</v>
      </c>
      <c r="H32" s="40">
        <f>H23</f>
        <v>38.393373610917408</v>
      </c>
      <c r="I32" s="41"/>
      <c r="J32" s="42"/>
    </row>
    <row r="33" spans="2:10" x14ac:dyDescent="0.25">
      <c r="B33" s="39" t="s">
        <v>11</v>
      </c>
      <c r="C33" s="40">
        <f>Ii_a/Pi_a</f>
        <v>8.1194267947125685</v>
      </c>
      <c r="D33" s="41"/>
      <c r="E33" s="41"/>
      <c r="F33" s="41"/>
      <c r="G33" s="50" t="s">
        <v>11</v>
      </c>
      <c r="H33" s="40">
        <f>H24/H23</f>
        <v>0.39019571125510272</v>
      </c>
      <c r="I33" s="41"/>
      <c r="J33" s="42"/>
    </row>
    <row r="34" spans="2:10" ht="15.75" thickBot="1" x14ac:dyDescent="0.3">
      <c r="B34" s="43" t="s">
        <v>15</v>
      </c>
      <c r="C34" s="44">
        <f>Pi_a*Di_a</f>
        <v>57.63475473909029</v>
      </c>
      <c r="D34" s="45"/>
      <c r="E34" s="45"/>
      <c r="F34" s="45"/>
      <c r="G34" s="51" t="s">
        <v>15</v>
      </c>
      <c r="H34" s="44">
        <f>H23*H25</f>
        <v>54.575252212123274</v>
      </c>
      <c r="I34" s="45"/>
      <c r="J34" s="46"/>
    </row>
    <row r="37" spans="2:10" x14ac:dyDescent="0.25">
      <c r="B37" s="1" t="s">
        <v>18</v>
      </c>
    </row>
    <row r="38" spans="2:10" x14ac:dyDescent="0.25">
      <c r="B38" s="1" t="s">
        <v>10</v>
      </c>
      <c r="C38">
        <f>C20*(1 + (C34/C33))</f>
        <v>130.33409862593282</v>
      </c>
    </row>
    <row r="39" spans="2:10" x14ac:dyDescent="0.25">
      <c r="B39" s="1" t="s">
        <v>11</v>
      </c>
    </row>
    <row r="40" spans="2:10" x14ac:dyDescent="0.25">
      <c r="B40" s="1"/>
    </row>
    <row r="41" spans="2:10" x14ac:dyDescent="0.25">
      <c r="B41" s="1" t="s">
        <v>10</v>
      </c>
      <c r="C41">
        <f>Pi_a*(1 + (Di_a/Ii_a))</f>
        <v>24.078355320723201</v>
      </c>
    </row>
    <row r="42" spans="2:10" x14ac:dyDescent="0.25">
      <c r="B42" s="1" t="s">
        <v>11</v>
      </c>
      <c r="C42">
        <f>Ii_a + Di_a</f>
        <v>195.50244336368991</v>
      </c>
    </row>
    <row r="43" spans="2:10" x14ac:dyDescent="0.25">
      <c r="B43" s="1" t="s">
        <v>15</v>
      </c>
      <c r="C43">
        <f>1+((1/Ii_a)+(1/Di_a))</f>
        <v>1.417774924691269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EFAE-8AB5-4034-BE29-741E959D6880}">
  <dimension ref="A1:Q45"/>
  <sheetViews>
    <sheetView showGridLines="0" tabSelected="1" zoomScale="150" zoomScaleNormal="150" workbookViewId="0">
      <selection activeCell="K47" sqref="K47"/>
    </sheetView>
  </sheetViews>
  <sheetFormatPr defaultRowHeight="15" x14ac:dyDescent="0.25"/>
  <cols>
    <col min="1" max="1" width="23.5703125" customWidth="1"/>
    <col min="2" max="2" width="10" customWidth="1"/>
    <col min="3" max="3" width="10.7109375" customWidth="1"/>
    <col min="6" max="6" width="1.28515625" customWidth="1"/>
    <col min="7" max="7" width="7.7109375" customWidth="1"/>
    <col min="8" max="8" width="12" customWidth="1"/>
    <col min="9" max="9" width="14.42578125" customWidth="1"/>
    <col min="10" max="10" width="8.85546875" customWidth="1"/>
    <col min="11" max="11" width="49.28515625" customWidth="1"/>
    <col min="17" max="17" width="11.85546875" bestFit="1" customWidth="1"/>
  </cols>
  <sheetData>
    <row r="1" spans="1:17" x14ac:dyDescent="0.25">
      <c r="A1" t="s">
        <v>41</v>
      </c>
    </row>
    <row r="2" spans="1:17" ht="18.75" x14ac:dyDescent="0.4">
      <c r="D2" s="47" t="s">
        <v>31</v>
      </c>
    </row>
    <row r="3" spans="1:17" x14ac:dyDescent="0.25">
      <c r="B3" s="13" t="s">
        <v>24</v>
      </c>
      <c r="C3" s="15"/>
      <c r="D3" s="10"/>
      <c r="E3" s="10"/>
      <c r="F3" s="10"/>
      <c r="G3" s="10"/>
      <c r="H3" s="10"/>
      <c r="I3" s="10"/>
      <c r="J3" s="10"/>
    </row>
    <row r="4" spans="1:17" x14ac:dyDescent="0.25">
      <c r="B4" s="10" t="s">
        <v>23</v>
      </c>
      <c r="C4" s="16">
        <v>5</v>
      </c>
      <c r="D4" s="10" t="s">
        <v>4</v>
      </c>
      <c r="E4" s="10"/>
      <c r="F4" s="10"/>
      <c r="G4" s="10"/>
      <c r="H4" s="10"/>
      <c r="I4" s="10"/>
      <c r="J4" s="10"/>
      <c r="P4" s="4">
        <v>3.679884259259259E-3</v>
      </c>
      <c r="Q4" s="4">
        <v>3.679884259259259E-3</v>
      </c>
    </row>
    <row r="5" spans="1:17" x14ac:dyDescent="0.25">
      <c r="B5" s="10" t="s">
        <v>0</v>
      </c>
      <c r="C5" s="16">
        <v>8</v>
      </c>
      <c r="D5" s="10" t="s">
        <v>37</v>
      </c>
      <c r="E5" s="10"/>
      <c r="F5" s="10"/>
      <c r="G5" s="10"/>
      <c r="H5" s="10"/>
      <c r="I5" s="10"/>
      <c r="J5" s="10"/>
      <c r="P5" s="4">
        <v>4.4078935185185185E-3</v>
      </c>
      <c r="Q5" s="4">
        <v>7.4401967592592592E-3</v>
      </c>
    </row>
    <row r="6" spans="1:17" x14ac:dyDescent="0.25">
      <c r="B6" s="10" t="s">
        <v>34</v>
      </c>
      <c r="C6" s="16">
        <v>2</v>
      </c>
      <c r="D6" s="10" t="s">
        <v>6</v>
      </c>
      <c r="E6" s="10"/>
      <c r="F6" s="10"/>
      <c r="G6" s="10"/>
      <c r="H6" s="10"/>
      <c r="I6" s="10"/>
      <c r="J6" s="10"/>
      <c r="P6" s="2">
        <v>0.59356481481481482</v>
      </c>
    </row>
    <row r="7" spans="1:17" x14ac:dyDescent="0.25">
      <c r="B7" s="10" t="s">
        <v>17</v>
      </c>
      <c r="C7" s="16">
        <v>68</v>
      </c>
      <c r="D7" s="10"/>
      <c r="E7" s="10"/>
      <c r="F7" s="10"/>
      <c r="G7" s="10"/>
      <c r="H7" s="10"/>
      <c r="I7" s="10"/>
      <c r="J7" s="10"/>
      <c r="P7" s="2"/>
    </row>
    <row r="8" spans="1:17" x14ac:dyDescent="0.25">
      <c r="B8" s="10" t="s">
        <v>16</v>
      </c>
      <c r="C8" s="16">
        <v>168</v>
      </c>
      <c r="D8" s="10"/>
      <c r="E8" s="10"/>
      <c r="F8" s="10"/>
      <c r="G8" s="10"/>
      <c r="H8" s="10"/>
      <c r="I8" s="10"/>
      <c r="J8" s="10"/>
      <c r="P8" s="2"/>
    </row>
    <row r="9" spans="1:17" x14ac:dyDescent="0.25">
      <c r="B9" s="14" t="s">
        <v>25</v>
      </c>
      <c r="C9" s="10"/>
      <c r="D9" s="10"/>
      <c r="E9" s="10"/>
      <c r="F9" s="10"/>
      <c r="G9" s="10"/>
      <c r="H9" s="10"/>
      <c r="I9" s="10"/>
      <c r="J9" s="10"/>
      <c r="P9" s="3" t="e">
        <f>#REF!-P6</f>
        <v>#REF!</v>
      </c>
    </row>
    <row r="10" spans="1:17" ht="15.75" x14ac:dyDescent="0.25">
      <c r="B10" s="10" t="s">
        <v>7</v>
      </c>
      <c r="C10" s="10">
        <f>(C5/C4)*(100/(C8-C7))</f>
        <v>1.6</v>
      </c>
      <c r="D10" s="10"/>
      <c r="E10" s="10"/>
      <c r="F10" s="10"/>
      <c r="G10" s="10"/>
      <c r="H10" s="10"/>
      <c r="I10" s="10"/>
      <c r="J10" s="10"/>
      <c r="P10" s="7" t="e">
        <f>P9*86400</f>
        <v>#REF!</v>
      </c>
      <c r="Q10" t="s">
        <v>22</v>
      </c>
    </row>
    <row r="11" spans="1:17" x14ac:dyDescent="0.25">
      <c r="B11" s="10" t="s">
        <v>8</v>
      </c>
      <c r="C11" s="10">
        <v>215</v>
      </c>
      <c r="D11" s="10" t="s">
        <v>44</v>
      </c>
      <c r="E11" s="10" t="s">
        <v>35</v>
      </c>
      <c r="F11" s="10"/>
      <c r="G11" s="10"/>
      <c r="H11" s="10"/>
      <c r="I11" s="10"/>
      <c r="J11" s="10"/>
    </row>
    <row r="12" spans="1:17" x14ac:dyDescent="0.25">
      <c r="B12" s="10" t="s">
        <v>9</v>
      </c>
      <c r="C12" s="10">
        <v>5</v>
      </c>
      <c r="D12" s="10" t="s">
        <v>44</v>
      </c>
      <c r="E12" s="10" t="s">
        <v>36</v>
      </c>
      <c r="F12" s="10"/>
      <c r="G12" s="10"/>
      <c r="H12" s="10"/>
      <c r="I12" s="10"/>
      <c r="J12" s="10"/>
    </row>
    <row r="13" spans="1:17" ht="15.75" thickBot="1" x14ac:dyDescent="0.3">
      <c r="B13" s="10"/>
      <c r="C13" s="10"/>
      <c r="D13" s="10"/>
      <c r="E13" s="95" t="s">
        <v>45</v>
      </c>
      <c r="F13" s="10"/>
      <c r="G13" s="10"/>
      <c r="H13" s="10"/>
      <c r="I13" s="10"/>
      <c r="J13" s="10"/>
    </row>
    <row r="14" spans="1:17" x14ac:dyDescent="0.25">
      <c r="B14" s="57" t="s">
        <v>42</v>
      </c>
      <c r="C14" s="19"/>
      <c r="D14" s="20"/>
      <c r="E14" s="21"/>
      <c r="F14" s="55"/>
      <c r="G14" s="54" t="s">
        <v>43</v>
      </c>
      <c r="H14" s="19"/>
      <c r="I14" s="20"/>
      <c r="J14" s="21"/>
    </row>
    <row r="15" spans="1:17" x14ac:dyDescent="0.25">
      <c r="B15" s="81"/>
      <c r="C15" s="71"/>
      <c r="D15" s="77" t="s">
        <v>13</v>
      </c>
      <c r="E15" s="78" t="s">
        <v>14</v>
      </c>
      <c r="F15" s="55"/>
      <c r="G15" s="76"/>
      <c r="H15" s="71"/>
      <c r="I15" s="77" t="s">
        <v>13</v>
      </c>
      <c r="J15" s="78" t="s">
        <v>14</v>
      </c>
    </row>
    <row r="16" spans="1:17" x14ac:dyDescent="0.25">
      <c r="B16" s="69" t="s">
        <v>10</v>
      </c>
      <c r="C16" s="93" t="s">
        <v>38</v>
      </c>
      <c r="D16" s="77"/>
      <c r="E16" s="78"/>
      <c r="F16" s="55"/>
      <c r="G16" s="74" t="s">
        <v>10</v>
      </c>
      <c r="H16" s="70">
        <f xml:space="preserve"> I16/PG * (DT/TC)^J16</f>
        <v>22.911471541150696</v>
      </c>
      <c r="I16" s="77">
        <v>0.90200000000000002</v>
      </c>
      <c r="J16" s="78">
        <v>-0.98499999999999999</v>
      </c>
    </row>
    <row r="17" spans="2:10" x14ac:dyDescent="0.25">
      <c r="B17" s="81"/>
      <c r="C17" s="71"/>
      <c r="D17" s="77"/>
      <c r="E17" s="78"/>
      <c r="F17" s="55"/>
      <c r="G17" s="76"/>
      <c r="H17" s="71"/>
      <c r="I17" s="77"/>
      <c r="J17" s="78"/>
    </row>
    <row r="18" spans="2:10" x14ac:dyDescent="0.25">
      <c r="B18" s="69" t="s">
        <v>10</v>
      </c>
      <c r="C18" s="70">
        <f xml:space="preserve"> D18/PG * (DT/TC)^E18</f>
        <v>12.077180670051872</v>
      </c>
      <c r="D18" s="77">
        <v>0.75800000000000001</v>
      </c>
      <c r="E18" s="78">
        <v>-0.86099999999999999</v>
      </c>
      <c r="F18" s="55"/>
      <c r="G18" s="74" t="s">
        <v>10</v>
      </c>
      <c r="H18" s="70">
        <f xml:space="preserve"> I18/PG * (DT/TC)^J18</f>
        <v>25.08851829157776</v>
      </c>
      <c r="I18" s="77">
        <v>0.98399999999999999</v>
      </c>
      <c r="J18" s="78">
        <v>-0.98599999999999999</v>
      </c>
    </row>
    <row r="19" spans="2:10" x14ac:dyDescent="0.25">
      <c r="B19" s="69" t="s">
        <v>11</v>
      </c>
      <c r="C19" s="70">
        <f>TC/(D19*(DT/TC)^E19)</f>
        <v>62.550095485746752</v>
      </c>
      <c r="D19" s="77">
        <v>1.02</v>
      </c>
      <c r="E19" s="78">
        <v>-0.32300000000000001</v>
      </c>
      <c r="F19" s="55"/>
      <c r="G19" s="74" t="s">
        <v>11</v>
      </c>
      <c r="H19" s="70">
        <f>TC/(I19*(DT/TC)^J19)</f>
        <v>24.755555868252266</v>
      </c>
      <c r="I19" s="77">
        <v>0.60799999999999998</v>
      </c>
      <c r="J19" s="78">
        <v>-0.70699999999999996</v>
      </c>
    </row>
    <row r="20" spans="2:10" x14ac:dyDescent="0.25">
      <c r="B20" s="69"/>
      <c r="C20" s="70"/>
      <c r="D20" s="77"/>
      <c r="E20" s="78"/>
      <c r="F20" s="55"/>
      <c r="G20" s="74"/>
      <c r="H20" s="70"/>
      <c r="I20" s="77"/>
      <c r="J20" s="78"/>
    </row>
    <row r="21" spans="2:10" x14ac:dyDescent="0.25">
      <c r="B21" s="69" t="s">
        <v>10</v>
      </c>
      <c r="C21" s="70">
        <f xml:space="preserve"> D21/PG * (DT/TC)^E21</f>
        <v>17.831748512087053</v>
      </c>
      <c r="D21" s="77">
        <v>1.0860000000000001</v>
      </c>
      <c r="E21" s="78">
        <v>-0.86899999999999999</v>
      </c>
      <c r="F21" s="55"/>
      <c r="G21" s="74" t="s">
        <v>10</v>
      </c>
      <c r="H21" s="70">
        <f xml:space="preserve"> I21/PG * (DT/TC)^J21</f>
        <v>28.65209391474589</v>
      </c>
      <c r="I21" s="77">
        <v>1.4350000000000001</v>
      </c>
      <c r="J21" s="78">
        <v>-0.92100000000000004</v>
      </c>
    </row>
    <row r="22" spans="2:10" x14ac:dyDescent="0.25">
      <c r="B22" s="69" t="s">
        <v>11</v>
      </c>
      <c r="C22" s="70">
        <f>TC/(D22*(DT/TC)^E22)</f>
        <v>178.17872255713186</v>
      </c>
      <c r="D22" s="77">
        <v>0.74</v>
      </c>
      <c r="E22" s="78">
        <v>-0.13</v>
      </c>
      <c r="F22" s="55"/>
      <c r="G22" s="74" t="s">
        <v>11</v>
      </c>
      <c r="H22" s="70">
        <f>TC/(I22*(DT/TC)^J22)</f>
        <v>14.637808823715858</v>
      </c>
      <c r="I22" s="77">
        <v>0.878</v>
      </c>
      <c r="J22" s="78">
        <v>-0.749</v>
      </c>
    </row>
    <row r="23" spans="2:10" ht="15.75" thickBot="1" x14ac:dyDescent="0.3">
      <c r="B23" s="72" t="s">
        <v>15</v>
      </c>
      <c r="C23" s="73">
        <f xml:space="preserve"> TC * D23 * (DT/TC)^E23</f>
        <v>2.4045152480420384</v>
      </c>
      <c r="D23" s="79">
        <v>0.34799999999999998</v>
      </c>
      <c r="E23" s="80">
        <v>0.91400000000000003</v>
      </c>
      <c r="F23" s="55"/>
      <c r="G23" s="75" t="s">
        <v>15</v>
      </c>
      <c r="H23" s="73">
        <f xml:space="preserve"> TC * I23 * (DT/TC)^J23</f>
        <v>1.4395669391447818</v>
      </c>
      <c r="I23" s="79">
        <v>0.48199999999999998</v>
      </c>
      <c r="J23" s="80">
        <v>1.137</v>
      </c>
    </row>
    <row r="24" spans="2:10" x14ac:dyDescent="0.25">
      <c r="B24" s="10"/>
      <c r="C24" s="10"/>
      <c r="D24" s="10"/>
      <c r="E24" s="10"/>
      <c r="F24" s="10"/>
      <c r="G24" s="9"/>
      <c r="H24" s="10"/>
      <c r="I24" s="10"/>
      <c r="J24" s="10"/>
    </row>
    <row r="25" spans="2:10" ht="15.75" thickBot="1" x14ac:dyDescent="0.3">
      <c r="B25" s="10"/>
      <c r="C25" s="10"/>
      <c r="D25" s="10"/>
      <c r="E25" s="10"/>
      <c r="F25" s="10"/>
      <c r="G25" s="9"/>
      <c r="H25" s="10"/>
      <c r="I25" s="10"/>
      <c r="J25" s="10"/>
    </row>
    <row r="26" spans="2:10" x14ac:dyDescent="0.25">
      <c r="B26" s="58" t="s">
        <v>32</v>
      </c>
      <c r="C26" s="59"/>
      <c r="D26" s="59"/>
      <c r="E26" s="60"/>
      <c r="F26" s="56"/>
      <c r="G26" s="61" t="s">
        <v>33</v>
      </c>
      <c r="H26" s="59"/>
      <c r="I26" s="62"/>
      <c r="J26" s="63"/>
    </row>
    <row r="27" spans="2:10" x14ac:dyDescent="0.25">
      <c r="B27" s="88" t="s">
        <v>10</v>
      </c>
      <c r="C27" s="94" t="str">
        <f>C16</f>
        <v>n.a.</v>
      </c>
      <c r="D27" s="83"/>
      <c r="E27" s="84"/>
      <c r="F27" s="56"/>
      <c r="G27" s="91" t="s">
        <v>10</v>
      </c>
      <c r="H27" s="94">
        <f>H16</f>
        <v>22.911471541150696</v>
      </c>
      <c r="I27" s="89"/>
      <c r="J27" s="90"/>
    </row>
    <row r="28" spans="2:10" x14ac:dyDescent="0.25">
      <c r="B28" s="82"/>
      <c r="C28" s="83"/>
      <c r="D28" s="83"/>
      <c r="E28" s="84"/>
      <c r="F28" s="56"/>
      <c r="G28" s="85"/>
      <c r="H28" s="83"/>
      <c r="I28" s="86"/>
      <c r="J28" s="87"/>
    </row>
    <row r="29" spans="2:10" x14ac:dyDescent="0.25">
      <c r="B29" s="39" t="s">
        <v>10</v>
      </c>
      <c r="C29" s="40">
        <f>Pi</f>
        <v>12.077180670051872</v>
      </c>
      <c r="D29" s="41"/>
      <c r="E29" s="42"/>
      <c r="F29" s="55"/>
      <c r="G29" s="52" t="s">
        <v>10</v>
      </c>
      <c r="H29" s="40">
        <f>H18</f>
        <v>25.08851829157776</v>
      </c>
      <c r="I29" s="41"/>
      <c r="J29" s="42"/>
    </row>
    <row r="30" spans="2:10" x14ac:dyDescent="0.25">
      <c r="B30" s="39" t="s">
        <v>11</v>
      </c>
      <c r="C30" s="40">
        <f>Ii/Pi</f>
        <v>5.1791968005292821</v>
      </c>
      <c r="D30" s="41"/>
      <c r="E30" s="42"/>
      <c r="F30" s="55"/>
      <c r="G30" s="52" t="s">
        <v>11</v>
      </c>
      <c r="H30" s="40">
        <f>H19/H18</f>
        <v>0.98672849390881445</v>
      </c>
      <c r="I30" s="41"/>
      <c r="J30" s="42"/>
    </row>
    <row r="31" spans="2:10" x14ac:dyDescent="0.25">
      <c r="B31" s="39"/>
      <c r="C31" s="40"/>
      <c r="D31" s="41"/>
      <c r="E31" s="42"/>
      <c r="F31" s="55"/>
      <c r="G31" s="52"/>
      <c r="H31" s="40"/>
      <c r="I31" s="41"/>
      <c r="J31" s="42"/>
    </row>
    <row r="32" spans="2:10" x14ac:dyDescent="0.25">
      <c r="B32" s="39" t="s">
        <v>10</v>
      </c>
      <c r="C32" s="40">
        <f>Pi_a</f>
        <v>17.831748512087053</v>
      </c>
      <c r="D32" s="41"/>
      <c r="E32" s="42"/>
      <c r="F32" s="55"/>
      <c r="G32" s="52" t="s">
        <v>10</v>
      </c>
      <c r="H32" s="40">
        <f>H21</f>
        <v>28.65209391474589</v>
      </c>
      <c r="I32" s="41"/>
      <c r="J32" s="42"/>
    </row>
    <row r="33" spans="2:10" x14ac:dyDescent="0.25">
      <c r="B33" s="39" t="s">
        <v>11</v>
      </c>
      <c r="C33" s="40">
        <f>Ii_a/Pi_a</f>
        <v>9.9922182301054434</v>
      </c>
      <c r="D33" s="41"/>
      <c r="E33" s="42"/>
      <c r="F33" s="55"/>
      <c r="G33" s="52" t="s">
        <v>11</v>
      </c>
      <c r="H33" s="40">
        <f>H22/H21</f>
        <v>0.51088094529044048</v>
      </c>
      <c r="I33" s="41"/>
      <c r="J33" s="42"/>
    </row>
    <row r="34" spans="2:10" ht="15.75" thickBot="1" x14ac:dyDescent="0.3">
      <c r="B34" s="43" t="s">
        <v>15</v>
      </c>
      <c r="C34" s="44">
        <f>Pi_a*Di_a</f>
        <v>42.876711196564251</v>
      </c>
      <c r="D34" s="45"/>
      <c r="E34" s="46"/>
      <c r="F34" s="55"/>
      <c r="G34" s="53" t="s">
        <v>15</v>
      </c>
      <c r="H34" s="44">
        <f>H21*H23</f>
        <v>41.246607136939573</v>
      </c>
      <c r="I34" s="45"/>
      <c r="J34" s="46"/>
    </row>
    <row r="36" spans="2:10" ht="15.75" thickBot="1" x14ac:dyDescent="0.3"/>
    <row r="37" spans="2:10" x14ac:dyDescent="0.25">
      <c r="B37" s="64" t="s">
        <v>39</v>
      </c>
      <c r="C37" s="65"/>
      <c r="D37" s="65"/>
      <c r="E37" s="66"/>
      <c r="G37" s="64" t="s">
        <v>40</v>
      </c>
      <c r="H37" s="65"/>
      <c r="I37" s="65"/>
      <c r="J37" s="66"/>
    </row>
    <row r="38" spans="2:10" x14ac:dyDescent="0.25">
      <c r="B38" s="27" t="s">
        <v>10</v>
      </c>
      <c r="C38" s="92" t="s">
        <v>38</v>
      </c>
      <c r="D38" s="23"/>
      <c r="E38" s="67"/>
      <c r="G38" s="27" t="s">
        <v>10</v>
      </c>
      <c r="H38" s="92">
        <f>Pi_aa * (1 + (Di_aa/Ii_aa))</f>
        <v>25.08851829157776</v>
      </c>
      <c r="I38" s="24"/>
      <c r="J38" s="26"/>
    </row>
    <row r="39" spans="2:10" x14ac:dyDescent="0.25">
      <c r="B39" s="27"/>
      <c r="C39" s="28"/>
      <c r="D39" s="23"/>
      <c r="E39" s="67"/>
      <c r="G39" s="27"/>
      <c r="H39" s="28"/>
      <c r="I39" s="23"/>
      <c r="J39" s="67"/>
    </row>
    <row r="40" spans="2:10" x14ac:dyDescent="0.25">
      <c r="B40" s="27" t="s">
        <v>10</v>
      </c>
      <c r="C40" s="28">
        <f>Pi*(1 + (Di/Ii))</f>
        <v>12.077180670051872</v>
      </c>
      <c r="D40" s="23"/>
      <c r="E40" s="67"/>
      <c r="G40" s="27" t="s">
        <v>10</v>
      </c>
      <c r="H40" s="28">
        <f>Pi_aa * (1 + (Di_aa/Ii_aa))</f>
        <v>25.08851829157776</v>
      </c>
      <c r="I40" s="23"/>
      <c r="J40" s="67"/>
    </row>
    <row r="41" spans="2:10" x14ac:dyDescent="0.25">
      <c r="B41" s="27" t="s">
        <v>11</v>
      </c>
      <c r="C41" s="28">
        <f>Ii+Di</f>
        <v>62.550095485746752</v>
      </c>
      <c r="D41" s="23"/>
      <c r="E41" s="67"/>
      <c r="G41" s="27" t="s">
        <v>11</v>
      </c>
      <c r="H41" s="28">
        <f>Ii_aa + Di_aa</f>
        <v>24.755555868252266</v>
      </c>
      <c r="I41" s="23"/>
      <c r="J41" s="67"/>
    </row>
    <row r="42" spans="2:10" x14ac:dyDescent="0.25">
      <c r="B42" s="27"/>
      <c r="C42" s="28"/>
      <c r="D42" s="23"/>
      <c r="E42" s="67"/>
      <c r="G42" s="27"/>
      <c r="H42" s="28"/>
      <c r="I42" s="23"/>
      <c r="J42" s="67"/>
    </row>
    <row r="43" spans="2:10" x14ac:dyDescent="0.25">
      <c r="B43" s="27" t="s">
        <v>10</v>
      </c>
      <c r="C43" s="28">
        <f>Pi_a*(1 + (Di_a/Ii_a))</f>
        <v>18.072387296456025</v>
      </c>
      <c r="D43" s="23"/>
      <c r="E43" s="67"/>
      <c r="G43" s="27" t="s">
        <v>10</v>
      </c>
      <c r="H43" s="28">
        <f>Pi_bb * (1 + (Di_bb/Ii_bb))</f>
        <v>31.469906856127714</v>
      </c>
      <c r="I43" s="23"/>
      <c r="J43" s="67"/>
    </row>
    <row r="44" spans="2:10" x14ac:dyDescent="0.25">
      <c r="B44" s="27" t="s">
        <v>11</v>
      </c>
      <c r="C44" s="28">
        <f>Ii_a + Di_a</f>
        <v>180.58323780517389</v>
      </c>
      <c r="D44" s="23"/>
      <c r="E44" s="67"/>
      <c r="G44" s="27" t="s">
        <v>11</v>
      </c>
      <c r="H44" s="28">
        <f>Ii_bb + Di_bb</f>
        <v>16.07737576286064</v>
      </c>
      <c r="I44" s="23"/>
      <c r="J44" s="67"/>
    </row>
    <row r="45" spans="2:10" ht="15.75" thickBot="1" x14ac:dyDescent="0.3">
      <c r="B45" s="29" t="s">
        <v>15</v>
      </c>
      <c r="C45" s="30">
        <f>1+((1/Ii_a)+(1/Di_a))</f>
        <v>1.4214965838588893</v>
      </c>
      <c r="D45" s="32"/>
      <c r="E45" s="68"/>
      <c r="G45" s="29" t="s">
        <v>15</v>
      </c>
      <c r="H45" s="30">
        <f>1/((1/Ii_bb)+(1/Di_bb))</f>
        <v>1.3106682306213491</v>
      </c>
      <c r="I45" s="32"/>
      <c r="J45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30</vt:i4>
      </vt:variant>
    </vt:vector>
  </HeadingPairs>
  <TitlesOfParts>
    <vt:vector size="32" baseType="lpstr">
      <vt:lpstr>BP Formulas - Do-more</vt:lpstr>
      <vt:lpstr>BP Formulas - Eng-Click</vt:lpstr>
      <vt:lpstr>Di</vt:lpstr>
      <vt:lpstr>'BP Formulas - Do-more'!Di_a</vt:lpstr>
      <vt:lpstr>'BP Formulas - Eng-Click'!Di_a</vt:lpstr>
      <vt:lpstr>Di_aa</vt:lpstr>
      <vt:lpstr>Di_bb</vt:lpstr>
      <vt:lpstr>Di_c</vt:lpstr>
      <vt:lpstr>'BP Formulas - Do-more'!DT</vt:lpstr>
      <vt:lpstr>'BP Formulas - Eng-Click'!DT</vt:lpstr>
      <vt:lpstr>'BP Formulas - Do-more'!Ii</vt:lpstr>
      <vt:lpstr>'BP Formulas - Eng-Click'!Ii</vt:lpstr>
      <vt:lpstr>'BP Formulas - Do-more'!Ii_a</vt:lpstr>
      <vt:lpstr>'BP Formulas - Eng-Click'!Ii_a</vt:lpstr>
      <vt:lpstr>Ii_aa</vt:lpstr>
      <vt:lpstr>Ii_bb</vt:lpstr>
      <vt:lpstr>'BP Formulas - Do-more'!PG</vt:lpstr>
      <vt:lpstr>'BP Formulas - Eng-Click'!PG</vt:lpstr>
      <vt:lpstr>'BP Formulas - Do-more'!Pi</vt:lpstr>
      <vt:lpstr>'BP Formulas - Eng-Click'!Pi</vt:lpstr>
      <vt:lpstr>'BP Formulas - Do-more'!Pi_a</vt:lpstr>
      <vt:lpstr>'BP Formulas - Eng-Click'!Pi_a</vt:lpstr>
      <vt:lpstr>Pi_aa</vt:lpstr>
      <vt:lpstr>Pi_bb</vt:lpstr>
      <vt:lpstr>'BP Formulas - Do-more'!PV_Max</vt:lpstr>
      <vt:lpstr>'BP Formulas - Do-more'!PV_Min</vt:lpstr>
      <vt:lpstr>'BP Formulas - Do-more'!t</vt:lpstr>
      <vt:lpstr>'BP Formulas - Do-more'!T_25</vt:lpstr>
      <vt:lpstr>'BP Formulas - Do-more'!T_75</vt:lpstr>
      <vt:lpstr>'BP Formulas - Do-more'!T0</vt:lpstr>
      <vt:lpstr>'BP Formulas - Do-more'!TC</vt:lpstr>
      <vt:lpstr>'BP Formulas - Eng-Click'!TC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Folea, Rick</dc:creator>
  <cp:lastModifiedBy>Folea, Rick</cp:lastModifiedBy>
  <dcterms:created xsi:type="dcterms:W3CDTF">2019-07-26T10:59:16Z</dcterms:created>
  <dcterms:modified xsi:type="dcterms:W3CDTF">2019-12-09T15:17:36Z</dcterms:modified>
</cp:coreProperties>
</file>